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bde92daf29c20763/Documents/River 2025/Dannys report/"/>
    </mc:Choice>
  </mc:AlternateContent>
  <xr:revisionPtr revIDLastSave="0" documentId="8_{C7F9E553-4684-423E-8D03-36A0FD9803BA}" xr6:coauthVersionLast="47" xr6:coauthVersionMax="47" xr10:uidLastSave="{00000000-0000-0000-0000-000000000000}"/>
  <workbookProtection workbookAlgorithmName="SHA-512" workbookHashValue="zjiYy+mFmK6ZldJOaXVsDAC6lUzx24/q+YVo4TWwipdeEtOo5VkaLVIi9N1Akyj5DBPNQu+/KDEz2vunmWaM1A==" workbookSaltValue="7dEd0nSdwehCQNKgWLQBsQ==" workbookSpinCount="100000" lockStructure="1"/>
  <bookViews>
    <workbookView xWindow="-38520" yWindow="-120" windowWidth="38640" windowHeight="21120" xr2:uid="{8ABFC856-706A-40D6-A1F6-627E1DCAA55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29" i="1" l="1"/>
  <c r="AC29" i="1"/>
  <c r="AB29" i="1"/>
  <c r="AA29" i="1"/>
  <c r="Z29" i="1"/>
  <c r="Y29" i="1"/>
  <c r="X29" i="1"/>
  <c r="W29" i="1"/>
  <c r="V29" i="1"/>
  <c r="U29" i="1"/>
  <c r="T29" i="1"/>
  <c r="S29" i="1"/>
  <c r="R29" i="1"/>
  <c r="Q29" i="1"/>
  <c r="P29" i="1"/>
  <c r="O29" i="1"/>
  <c r="N29" i="1"/>
  <c r="M29" i="1"/>
  <c r="L29" i="1"/>
  <c r="K29" i="1"/>
  <c r="J29" i="1"/>
  <c r="I29" i="1"/>
  <c r="H29" i="1"/>
  <c r="G29" i="1"/>
  <c r="F29" i="1"/>
  <c r="E29" i="1"/>
  <c r="C29" i="1"/>
  <c r="B29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E8" i="1"/>
  <c r="C8" i="1"/>
  <c r="F7" i="1"/>
  <c r="G7" i="1" s="1"/>
  <c r="D29" i="1" l="1"/>
  <c r="G8" i="1"/>
  <c r="H7" i="1"/>
  <c r="F8" i="1"/>
  <c r="H8" i="1" l="1"/>
  <c r="I7" i="1"/>
  <c r="I8" i="1" l="1"/>
  <c r="J7" i="1"/>
  <c r="J8" i="1" l="1"/>
  <c r="K7" i="1"/>
  <c r="K8" i="1" l="1"/>
  <c r="L7" i="1"/>
  <c r="L8" i="1" l="1"/>
  <c r="M7" i="1"/>
  <c r="N7" i="1" l="1"/>
  <c r="M8" i="1"/>
  <c r="N8" i="1" l="1"/>
  <c r="O7" i="1"/>
  <c r="P7" i="1" l="1"/>
  <c r="O8" i="1"/>
  <c r="Q7" i="1" l="1"/>
  <c r="P8" i="1"/>
  <c r="R7" i="1" l="1"/>
  <c r="Q8" i="1"/>
  <c r="S7" i="1" l="1"/>
  <c r="R8" i="1"/>
  <c r="T7" i="1" l="1"/>
  <c r="S8" i="1"/>
  <c r="U7" i="1" l="1"/>
  <c r="T8" i="1"/>
  <c r="V7" i="1" l="1"/>
  <c r="U8" i="1"/>
  <c r="W7" i="1" l="1"/>
  <c r="V8" i="1"/>
  <c r="W8" i="1" l="1"/>
  <c r="X7" i="1"/>
  <c r="X8" i="1" l="1"/>
  <c r="Y7" i="1"/>
  <c r="Y8" i="1" l="1"/>
  <c r="Z7" i="1"/>
  <c r="Z8" i="1" l="1"/>
  <c r="AA7" i="1"/>
  <c r="AA8" i="1" l="1"/>
  <c r="AB7" i="1"/>
  <c r="AB8" i="1" l="1"/>
  <c r="AC7" i="1"/>
  <c r="AD7" i="1" l="1"/>
  <c r="AD8" i="1" s="1"/>
  <c r="AC8" i="1"/>
</calcChain>
</file>

<file path=xl/sharedStrings.xml><?xml version="1.0" encoding="utf-8"?>
<sst xmlns="http://schemas.openxmlformats.org/spreadsheetml/2006/main" count="36" uniqueCount="36">
  <si>
    <t>DUCHESNE / STRAWBERRY REGULATION</t>
  </si>
  <si>
    <t>PRIORITY CUT</t>
  </si>
  <si>
    <r>
      <t>Water rights with a priority date later than the date shown above have been cut off.</t>
    </r>
    <r>
      <rPr>
        <b/>
        <sz val="10"/>
        <color indexed="8"/>
        <rFont val="Arial"/>
        <family val="2"/>
      </rPr>
      <t xml:space="preserve">  </t>
    </r>
    <r>
      <rPr>
        <b/>
        <sz val="10"/>
        <rFont val="Arial"/>
        <family val="2"/>
      </rPr>
      <t>Water use based on those rights must cease</t>
    </r>
    <r>
      <rPr>
        <b/>
        <sz val="10"/>
        <color indexed="8"/>
        <rFont val="Arial"/>
        <family val="2"/>
      </rPr>
      <t>.  Water users whose water rights have a priority date equal to or earlier than the above date may continue to use water.</t>
    </r>
  </si>
  <si>
    <t>STORAGE WATER DELIVERY</t>
  </si>
  <si>
    <t>CUMULATIVE TOTAL WATER DELIVERED FOR THE IRRIGATION SEASON</t>
  </si>
  <si>
    <t>DITCH COMPANY</t>
  </si>
  <si>
    <r>
      <t>NATURAL FLOW</t>
    </r>
    <r>
      <rPr>
        <sz val="11"/>
        <color theme="1"/>
        <rFont val="Aptos Narrow"/>
        <family val="2"/>
        <scheme val="minor"/>
      </rPr>
      <t xml:space="preserve">                    based on Water Rights                                     (Acre Feet)</t>
    </r>
  </si>
  <si>
    <r>
      <t>STORAGE</t>
    </r>
    <r>
      <rPr>
        <sz val="11"/>
        <color theme="1"/>
        <rFont val="Aptos Narrow"/>
        <family val="2"/>
        <scheme val="minor"/>
      </rPr>
      <t xml:space="preserve">                                  Includes both Project &amp; Block 1B Water                                                   (Acre Feet)</t>
    </r>
  </si>
  <si>
    <r>
      <t>TOTAL STORAGE</t>
    </r>
    <r>
      <rPr>
        <sz val="11"/>
        <color theme="1"/>
        <rFont val="Aptos Narrow"/>
        <family val="2"/>
        <scheme val="minor"/>
      </rPr>
      <t xml:space="preserve"> </t>
    </r>
    <r>
      <rPr>
        <b/>
        <sz val="10"/>
        <color indexed="8"/>
        <rFont val="Arial"/>
        <family val="2"/>
      </rPr>
      <t xml:space="preserve"> USED</t>
    </r>
    <r>
      <rPr>
        <sz val="11"/>
        <color theme="1"/>
        <rFont val="Aptos Narrow"/>
        <family val="2"/>
        <scheme val="minor"/>
      </rPr>
      <t xml:space="preserve">                                 Includes both Project &amp; Block 1B Water                                                   (Acre Feet)</t>
    </r>
  </si>
  <si>
    <t>RHOADS CANAL</t>
  </si>
  <si>
    <t>TURNBOW DITCH</t>
  </si>
  <si>
    <t>FARM CREEK</t>
  </si>
  <si>
    <t>NEW TABBY CANAL</t>
  </si>
  <si>
    <t>HICKEN DITCH</t>
  </si>
  <si>
    <t>WPPBB PIPE</t>
  </si>
  <si>
    <t>JONES DITCH</t>
  </si>
  <si>
    <t>KNIGHT  PIPE</t>
  </si>
  <si>
    <t>SHANKS  PIPE</t>
  </si>
  <si>
    <t>PIONEER   CANAL</t>
  </si>
  <si>
    <t>ORCHARD MESA</t>
  </si>
  <si>
    <t>ROCKY POINT</t>
  </si>
  <si>
    <t>DUCHESNE FEEDER</t>
  </si>
  <si>
    <t>UINTAH BASIN IRRIG CO</t>
  </si>
  <si>
    <t>FISH PROJECT WATER</t>
  </si>
  <si>
    <t>DEFA DITCH</t>
  </si>
  <si>
    <t>WARM SPRINGS</t>
  </si>
  <si>
    <t>Total Storage to date</t>
  </si>
  <si>
    <t>Total</t>
  </si>
  <si>
    <t>COURT ORDERED DUTY SCHEDULE</t>
  </si>
  <si>
    <t>THE FOLLOWING DUTY SCHEDULES WERE IMPLEMENTED ON THE DATES SHOWN</t>
  </si>
  <si>
    <t xml:space="preserve">ZONE I  </t>
  </si>
  <si>
    <t xml:space="preserve">ZONE II  </t>
  </si>
  <si>
    <t xml:space="preserve">ZONE III  </t>
  </si>
  <si>
    <t>1/11918</t>
  </si>
  <si>
    <t>1/11964</t>
  </si>
  <si>
    <t>WATER DELIVERED BETWEEN                                    THE DATES SHOWN BELOW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</si>
</sst>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m/d;@"/>
    <numFmt numFmtId="165" formatCode="0.0"/>
    <numFmt numFmtId="166" formatCode="0;[Red]0"/>
    <numFmt numFmtId="167" formatCode="0.0;[Red]0.0"/>
    <numFmt numFmtId="168" formatCode="0.00;[Red]0.00"/>
  </numFmts>
  <fonts count="9" x14ac:knownFonts="1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6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7" fillId="0" borderId="0"/>
    <xf numFmtId="0" fontId="7" fillId="0" borderId="0"/>
    <xf numFmtId="0" fontId="7" fillId="0" borderId="0"/>
  </cellStyleXfs>
  <cellXfs count="70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4" fontId="3" fillId="0" borderId="2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quotePrefix="1"/>
    <xf numFmtId="0" fontId="0" fillId="0" borderId="0" xfId="0" applyAlignment="1">
      <alignment horizontal="right"/>
    </xf>
    <xf numFmtId="0" fontId="0" fillId="0" borderId="0" xfId="0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/>
    </xf>
    <xf numFmtId="14" fontId="4" fillId="0" borderId="0" xfId="0" applyNumberFormat="1" applyFont="1" applyAlignment="1">
      <alignment horizontal="center" vertical="center" wrapText="1"/>
    </xf>
    <xf numFmtId="14" fontId="4" fillId="0" borderId="7" xfId="0" applyNumberFormat="1" applyFont="1" applyBorder="1" applyAlignment="1">
      <alignment horizontal="center" vertical="center"/>
    </xf>
    <xf numFmtId="164" fontId="3" fillId="0" borderId="6" xfId="0" applyNumberFormat="1" applyFont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165" fontId="0" fillId="0" borderId="12" xfId="0" applyNumberFormat="1" applyBorder="1" applyAlignment="1">
      <alignment vertical="center"/>
    </xf>
    <xf numFmtId="165" fontId="0" fillId="0" borderId="0" xfId="0" applyNumberFormat="1" applyAlignment="1">
      <alignment vertical="center"/>
    </xf>
    <xf numFmtId="2" fontId="4" fillId="0" borderId="0" xfId="0" applyNumberFormat="1" applyFont="1" applyAlignment="1">
      <alignment horizontal="center" vertical="center"/>
    </xf>
    <xf numFmtId="0" fontId="7" fillId="0" borderId="13" xfId="0" applyFont="1" applyBorder="1" applyAlignment="1">
      <alignment horizontal="right" vertical="center"/>
    </xf>
    <xf numFmtId="1" fontId="7" fillId="0" borderId="6" xfId="2" applyNumberFormat="1" applyBorder="1" applyAlignment="1">
      <alignment horizontal="center"/>
    </xf>
    <xf numFmtId="166" fontId="7" fillId="0" borderId="6" xfId="0" applyNumberFormat="1" applyFont="1" applyBorder="1" applyAlignment="1">
      <alignment horizontal="center"/>
    </xf>
    <xf numFmtId="166" fontId="7" fillId="0" borderId="13" xfId="0" applyNumberFormat="1" applyFont="1" applyBorder="1" applyAlignment="1">
      <alignment horizontal="center" vertical="center"/>
    </xf>
    <xf numFmtId="166" fontId="7" fillId="0" borderId="6" xfId="0" applyNumberFormat="1" applyFont="1" applyBorder="1" applyAlignment="1">
      <alignment horizontal="center" vertical="center"/>
    </xf>
    <xf numFmtId="166" fontId="7" fillId="0" borderId="6" xfId="3" applyNumberFormat="1" applyBorder="1" applyAlignment="1">
      <alignment horizontal="center" vertical="center"/>
    </xf>
    <xf numFmtId="166" fontId="7" fillId="0" borderId="6" xfId="4" applyNumberFormat="1" applyBorder="1" applyAlignment="1">
      <alignment horizontal="center" vertical="center"/>
    </xf>
    <xf numFmtId="166" fontId="7" fillId="0" borderId="14" xfId="0" applyNumberFormat="1" applyFont="1" applyBorder="1" applyAlignment="1">
      <alignment horizontal="center" vertical="center"/>
    </xf>
    <xf numFmtId="0" fontId="7" fillId="0" borderId="6" xfId="0" applyFont="1" applyBorder="1"/>
    <xf numFmtId="0" fontId="7" fillId="0" borderId="15" xfId="0" applyFont="1" applyBorder="1" applyAlignment="1">
      <alignment horizontal="right" vertical="center"/>
    </xf>
    <xf numFmtId="1" fontId="0" fillId="0" borderId="6" xfId="0" applyNumberFormat="1" applyBorder="1" applyAlignment="1">
      <alignment horizontal="center" vertical="center"/>
    </xf>
    <xf numFmtId="166" fontId="7" fillId="0" borderId="6" xfId="0" applyNumberFormat="1" applyFont="1" applyBorder="1"/>
    <xf numFmtId="0" fontId="7" fillId="0" borderId="6" xfId="0" applyFont="1" applyBorder="1" applyAlignment="1">
      <alignment horizontal="right" vertical="center"/>
    </xf>
    <xf numFmtId="0" fontId="7" fillId="0" borderId="0" xfId="0" applyFont="1" applyAlignment="1">
      <alignment horizontal="right" vertical="center"/>
    </xf>
    <xf numFmtId="1" fontId="7" fillId="0" borderId="0" xfId="0" applyNumberFormat="1" applyFont="1" applyAlignment="1">
      <alignment horizontal="center" vertical="center"/>
    </xf>
    <xf numFmtId="166" fontId="4" fillId="0" borderId="0" xfId="0" applyNumberFormat="1" applyFont="1" applyAlignment="1">
      <alignment horizontal="center"/>
    </xf>
    <xf numFmtId="166" fontId="7" fillId="0" borderId="0" xfId="0" applyNumberFormat="1" applyFont="1" applyAlignment="1">
      <alignment horizontal="center"/>
    </xf>
    <xf numFmtId="166" fontId="7" fillId="0" borderId="0" xfId="0" applyNumberFormat="1" applyFont="1" applyAlignment="1">
      <alignment horizontal="center" vertical="center"/>
    </xf>
    <xf numFmtId="166" fontId="7" fillId="0" borderId="0" xfId="3" applyNumberFormat="1" applyAlignment="1">
      <alignment horizontal="center" vertical="center"/>
    </xf>
    <xf numFmtId="166" fontId="7" fillId="0" borderId="0" xfId="4" applyNumberFormat="1" applyAlignment="1">
      <alignment horizontal="center" vertical="center"/>
    </xf>
    <xf numFmtId="166" fontId="8" fillId="0" borderId="0" xfId="4" applyNumberFormat="1" applyFont="1" applyAlignment="1">
      <alignment horizontal="center" vertical="center"/>
    </xf>
    <xf numFmtId="166" fontId="8" fillId="0" borderId="0" xfId="0" applyNumberFormat="1" applyFont="1" applyAlignment="1">
      <alignment horizontal="center" vertical="center"/>
    </xf>
    <xf numFmtId="167" fontId="8" fillId="0" borderId="0" xfId="4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0" xfId="0" applyFont="1"/>
    <xf numFmtId="1" fontId="7" fillId="0" borderId="6" xfId="0" applyNumberFormat="1" applyFont="1" applyBorder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168" fontId="0" fillId="0" borderId="0" xfId="0" applyNumberFormat="1"/>
    <xf numFmtId="166" fontId="0" fillId="0" borderId="0" xfId="0" applyNumberFormat="1"/>
    <xf numFmtId="166" fontId="0" fillId="0" borderId="0" xfId="0" applyNumberFormat="1" applyAlignment="1">
      <alignment horizontal="center"/>
    </xf>
    <xf numFmtId="1" fontId="0" fillId="0" borderId="0" xfId="0" applyNumberFormat="1"/>
    <xf numFmtId="0" fontId="6" fillId="0" borderId="0" xfId="0" applyFont="1" applyAlignment="1">
      <alignment horizontal="right" vertical="center"/>
    </xf>
    <xf numFmtId="14" fontId="0" fillId="0" borderId="18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7" fontId="0" fillId="0" borderId="0" xfId="0" applyNumberFormat="1"/>
    <xf numFmtId="14" fontId="0" fillId="0" borderId="0" xfId="0" applyNumberFormat="1"/>
    <xf numFmtId="0" fontId="0" fillId="0" borderId="5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" fillId="0" borderId="0" xfId="1" applyAlignment="1">
      <alignment horizontal="center" vertical="center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</cellXfs>
  <cellStyles count="5">
    <cellStyle name="Hyperlink" xfId="1" builtinId="8"/>
    <cellStyle name="Normal" xfId="0" builtinId="0"/>
    <cellStyle name="Normal 2" xfId="2" xr:uid="{03CCB495-0CE7-4040-A550-2F0CA23A830B}"/>
    <cellStyle name="Normal 4" xfId="3" xr:uid="{C0312710-2F98-48CC-B0A0-D13EA08D0ACE}"/>
    <cellStyle name="Normal 6" xfId="4" xr:uid="{DD2681CD-DA31-45E7-B06D-8296D9306223}"/>
  </cellStyles>
  <dxfs count="9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0;[Red]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0;[Red]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rgb="FFFF0000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0;[Red]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rgb="FFFF0000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0;[Red]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0;[Red]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0;[Red]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rgb="FFFF0000"/>
        <name val="Arial"/>
        <family val="2"/>
        <scheme val="none"/>
      </font>
      <numFmt numFmtId="166" formatCode="0;[Red]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6" formatCode="0;[Red]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0;[Red]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rgb="FFFF0000"/>
        <name val="Arial"/>
        <family val="2"/>
        <scheme val="none"/>
      </font>
      <numFmt numFmtId="167" formatCode="0.0;[Red]0.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7" formatCode="0.0;[Red]0.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0;[Red]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rgb="FFFF0000"/>
        <name val="Arial"/>
        <family val="2"/>
        <scheme val="none"/>
      </font>
      <numFmt numFmtId="167" formatCode="0.0;[Red]0.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7" formatCode="0.0;[Red]0.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0;[Red]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rial"/>
        <family val="2"/>
        <scheme val="none"/>
      </font>
      <numFmt numFmtId="166" formatCode="0;[Red]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rial"/>
        <family val="2"/>
        <scheme val="none"/>
      </font>
      <numFmt numFmtId="166" formatCode="0;[Red]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0;[Red]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rial"/>
        <family val="2"/>
        <scheme val="none"/>
      </font>
      <numFmt numFmtId="166" formatCode="0;[Red]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rial"/>
        <family val="2"/>
        <scheme val="none"/>
      </font>
      <numFmt numFmtId="166" formatCode="0;[Red]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0;[Red]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rgb="FFFF0000"/>
        <name val="Arial"/>
        <family val="2"/>
        <scheme val="none"/>
      </font>
      <numFmt numFmtId="166" formatCode="0;[Red]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6" formatCode="0;[Red]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0;[Red]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0;[Red]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6" formatCode="0;[Red]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0;[Red]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0;[Red]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6" formatCode="0;[Red]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0;[Red]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0;[Red]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6" formatCode="0;[Red]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0;[Red]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0;[Red]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6" formatCode="0;[Red]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0;[Red]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0;[Red]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6" formatCode="0;[Red]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0;[Red]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0;[Red]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6" formatCode="0;[Red]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0;[Red]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0;[Red]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6" formatCode="0;[Red]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0;[Red]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0;[Red]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6" formatCode="0;[Red]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0;[Red]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0;[Red]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6" formatCode="0;[Red]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0;[Red]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0;[Red]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6" formatCode="0;[Red]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0;[Red]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0;[Red]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6" formatCode="0;[Red]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0;[Red]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0;[Red]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6" formatCode="0;[Red]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0;[Red]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0;[Red]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6" formatCode="0;[Red]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0;[Red]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0;[Red]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6" formatCode="0;[Red]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0;[Red]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0;[Red]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6" formatCode="0;[Red]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0;[Red]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0;[Red]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6" formatCode="0;[Red]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0;[Red]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0;[Red]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6" formatCode="0;[Red]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0;[Red]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0;[Red]0"/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numFmt numFmtId="166" formatCode="0;[Red]0"/>
      <alignment horizontal="center" vertical="center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0;[Red]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0;[Red]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6" formatCode="0;[Red]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right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alignment horizontal="right" vertical="center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border outline="0">
        <top style="thin">
          <color rgb="FF000000"/>
        </top>
      </border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</dxf>
    <dxf>
      <border outline="0"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FAC8BBE-B8C8-4385-A45C-4133144540FE}" name="Table22456789101112131415161718" displayName="Table22456789101112131415161718" ref="A11:AE29" headerRowCount="0" totalsRowCount="1" headerRowDxfId="98" dataDxfId="96" totalsRowDxfId="94" headerRowBorderDxfId="97" tableBorderDxfId="95" totalsRowBorderDxfId="93">
  <tableColumns count="31">
    <tableColumn id="1" xr3:uid="{4B1354EC-270F-46DE-BD93-E824D979B913}" name="Column1" totalsRowLabel="Total" headerRowDxfId="92" dataDxfId="91" totalsRowDxfId="90"/>
    <tableColumn id="2" xr3:uid="{D88DA113-8785-443D-A737-E2B04C480A77}" name="Column2" totalsRowFunction="sum" headerRowDxfId="89" dataDxfId="88" totalsRowDxfId="87" headerRowCellStyle="Normal 2"/>
    <tableColumn id="3" xr3:uid="{54520778-B649-434F-A973-04591405DC85}" name="Column3" totalsRowFunction="sum" headerRowDxfId="86" dataDxfId="85" totalsRowDxfId="84"/>
    <tableColumn id="4" xr3:uid="{0CB5BFA5-84A9-4057-8357-1738B326890F}" name="Column4" totalsRowFunction="sum" headerRowDxfId="83" dataDxfId="82" totalsRowDxfId="81">
      <calculatedColumnFormula>SUM(K11:AD11)</calculatedColumnFormula>
    </tableColumn>
    <tableColumn id="5" xr3:uid="{460256A6-1A33-4FFF-A3AE-FFE8A57356CC}" name="Column5" totalsRowFunction="sum" headerRowDxfId="80" dataDxfId="79" totalsRowDxfId="78"/>
    <tableColumn id="6" xr3:uid="{8C2D6FDD-12BB-4E81-B57C-5A531AB2FEDB}" name="Column6" totalsRowFunction="sum" headerRowDxfId="77" dataDxfId="76" totalsRowDxfId="75"/>
    <tableColumn id="7" xr3:uid="{268D7236-E9A8-4F65-BBF5-1E8CBE4B4967}" name="Column7" totalsRowFunction="sum" headerRowDxfId="74" dataDxfId="73" totalsRowDxfId="72"/>
    <tableColumn id="8" xr3:uid="{00EBCD76-400E-4773-AA44-1D2E143CCF10}" name="Column8" totalsRowFunction="sum" headerRowDxfId="71" dataDxfId="70" totalsRowDxfId="69" headerRowCellStyle="Normal 4" dataCellStyle="Normal 4"/>
    <tableColumn id="9" xr3:uid="{CF8B3B00-6334-41CE-B4AA-3725DA58C3CA}" name="Column9" totalsRowFunction="sum" headerRowDxfId="68" dataDxfId="67" totalsRowDxfId="66" headerRowCellStyle="Normal 4" dataCellStyle="Normal 4"/>
    <tableColumn id="10" xr3:uid="{CE32A46C-E4CD-41C9-BF6F-8A2B2EBEEF4D}" name="Column10" totalsRowFunction="sum" headerRowDxfId="65" dataDxfId="64" totalsRowDxfId="63" headerRowCellStyle="Normal 4" dataCellStyle="Normal 4"/>
    <tableColumn id="11" xr3:uid="{4539354D-3A34-4545-A5CE-ECF35088D4BC}" name="Column11" totalsRowFunction="sum" headerRowDxfId="62" dataDxfId="61" totalsRowDxfId="60" headerRowCellStyle="Normal 4" dataCellStyle="Normal 4"/>
    <tableColumn id="12" xr3:uid="{EF543EDA-703F-4163-95C0-BF9111D109FD}" name="Column12" totalsRowFunction="sum" headerRowDxfId="59" dataDxfId="58" totalsRowDxfId="57" headerRowCellStyle="Normal 4" dataCellStyle="Normal 4"/>
    <tableColumn id="13" xr3:uid="{2A99F30F-D7C0-44CC-A372-4B41C472B227}" name="Column13" totalsRowFunction="sum" headerRowDxfId="56" dataDxfId="55" totalsRowDxfId="54" headerRowCellStyle="Normal 4"/>
    <tableColumn id="14" xr3:uid="{8F54E1AC-1BCA-4AA7-80F9-0404F3DB47C3}" name="Column14" totalsRowFunction="sum" headerRowDxfId="53" dataDxfId="52" totalsRowDxfId="51"/>
    <tableColumn id="15" xr3:uid="{DDD71A5C-E334-4A5D-A4AA-4C72CAEDE96E}" name="Column15" totalsRowFunction="sum" headerRowDxfId="50" dataDxfId="49" totalsRowDxfId="48"/>
    <tableColumn id="16" xr3:uid="{DAD6966B-2CB4-41E1-8C88-9A5F0C8454F1}" name="Column16" totalsRowFunction="sum" headerRowDxfId="47" dataDxfId="46" totalsRowDxfId="45" headerRowCellStyle="Normal 6" dataCellStyle="Normal 6"/>
    <tableColumn id="17" xr3:uid="{A8E0279F-2779-489C-B519-D02C830AFC7A}" name="Column17" totalsRowFunction="sum" headerRowDxfId="44" dataDxfId="43" totalsRowDxfId="42" headerRowCellStyle="Normal 6" dataCellStyle="Normal 6"/>
    <tableColumn id="18" xr3:uid="{3EC4BAE9-60CE-47C4-8373-05A29361BB21}" name="Column18" totalsRowFunction="sum" headerRowDxfId="41" dataDxfId="40" totalsRowDxfId="39" headerRowCellStyle="Normal 6" dataCellStyle="Normal 6"/>
    <tableColumn id="19" xr3:uid="{E31120B4-0685-4D23-8511-71764CF0EF91}" name="Column19" totalsRowFunction="sum" headerRowDxfId="38" dataDxfId="37" totalsRowDxfId="36"/>
    <tableColumn id="20" xr3:uid="{D492B7B7-D2D7-40CD-95C4-AE6F82D04791}" name="Column20" totalsRowFunction="sum" headerRowDxfId="35" dataDxfId="34" totalsRowDxfId="33" headerRowCellStyle="Normal 6" dataCellStyle="Normal 6"/>
    <tableColumn id="21" xr3:uid="{4336DD04-2D49-4233-9B72-19F22B26C587}" name="Column21" totalsRowFunction="sum" headerRowDxfId="32" dataDxfId="31" totalsRowDxfId="30" headerRowCellStyle="Normal 6" dataCellStyle="Normal 6"/>
    <tableColumn id="22" xr3:uid="{C5C11A86-48F9-4399-8468-13A584EDC06D}" name="Column22" totalsRowFunction="sum" headerRowDxfId="29" dataDxfId="28" totalsRowDxfId="27" headerRowCellStyle="Normal 6" dataCellStyle="Normal 6"/>
    <tableColumn id="23" xr3:uid="{572B5AA6-AADE-4FA1-BB5C-941309B9F5B3}" name="Column23" totalsRowFunction="sum" headerRowDxfId="26" dataDxfId="25" totalsRowDxfId="24"/>
    <tableColumn id="24" xr3:uid="{D7B34AD7-FF15-4E96-BAB4-F5F63ECBEBCD}" name="Column24" totalsRowFunction="sum" headerRowDxfId="23" dataDxfId="22" totalsRowDxfId="21" headerRowCellStyle="Normal 6" dataCellStyle="Normal 6"/>
    <tableColumn id="25" xr3:uid="{43E3BD9E-6BFF-4D48-A345-550257783EDB}" name="Column25" totalsRowFunction="sum" headerRowDxfId="20" dataDxfId="19" totalsRowDxfId="18" headerRowCellStyle="Normal 6" dataCellStyle="Normal 6"/>
    <tableColumn id="26" xr3:uid="{3C206E35-BE86-431D-8736-EB7CCDF6184A}" name="Column26" totalsRowFunction="sum" headerRowDxfId="17" dataDxfId="16" totalsRowDxfId="15" headerRowCellStyle="Normal 6" dataCellStyle="Normal 6"/>
    <tableColumn id="27" xr3:uid="{2A34D730-C9F3-4AC2-90FD-C6470310EC9B}" name="Column27" totalsRowFunction="sum" headerRowDxfId="14" dataDxfId="13" totalsRowDxfId="12"/>
    <tableColumn id="28" xr3:uid="{6A8950E7-A233-4E61-B3D8-1C99CCFBDDDB}" name="Column28" totalsRowFunction="sum" headerRowDxfId="11" dataDxfId="10" totalsRowDxfId="9"/>
    <tableColumn id="29" xr3:uid="{4F43BB44-C408-410B-9532-422195FF9A71}" name="Column29" totalsRowFunction="sum" headerRowDxfId="8" dataDxfId="7" totalsRowDxfId="6"/>
    <tableColumn id="30" xr3:uid="{2B591529-D959-41F5-AF22-A5778F07354D}" name="Column30" totalsRowFunction="sum" headerRowDxfId="5" dataDxfId="4" totalsRowDxfId="3"/>
    <tableColumn id="31" xr3:uid="{160C7563-1BA6-4F5A-948F-F43A2EE5A472}" name="Column31" headerRowDxfId="2" dataDxfId="1" totalsRowDxfId="0"/>
  </tableColumns>
  <tableStyleInfo name="TableStyleLight18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hyperlink" Target="http://waterrights.utah.gov/cgi-bin/dvrtview.exe?Modinfo=SysStations&amp;SYSTEM_NAME=DUCHESNE+RIVER&amp;RECORD_YEAR=2008" TargetMode="External"/><Relationship Id="rId1" Type="http://schemas.openxmlformats.org/officeDocument/2006/relationships/hyperlink" Target="https://waterrights.utah.gov/docImport/0542/0542252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89E428-C446-4B3D-97F2-194ECE54D097}">
  <dimension ref="A1:AE41"/>
  <sheetViews>
    <sheetView tabSelected="1" workbookViewId="0">
      <selection activeCell="B7" sqref="B7:C7"/>
    </sheetView>
  </sheetViews>
  <sheetFormatPr defaultRowHeight="15" x14ac:dyDescent="0.25"/>
  <cols>
    <col min="1" max="1" width="23.5703125" bestFit="1" customWidth="1"/>
    <col min="2" max="2" width="21.42578125" customWidth="1"/>
    <col min="3" max="3" width="21.5703125" customWidth="1"/>
    <col min="4" max="4" width="29.42578125" customWidth="1"/>
    <col min="5" max="12" width="0" hidden="1" customWidth="1"/>
    <col min="29" max="29" width="9.42578125" bestFit="1" customWidth="1"/>
  </cols>
  <sheetData>
    <row r="1" spans="1:31" ht="21" thickBot="1" x14ac:dyDescent="0.3">
      <c r="A1" s="63" t="s">
        <v>0</v>
      </c>
      <c r="B1" s="63"/>
      <c r="C1" s="63"/>
    </row>
    <row r="2" spans="1:31" ht="21" thickBot="1" x14ac:dyDescent="0.3">
      <c r="A2" s="2"/>
      <c r="B2" s="1"/>
      <c r="C2" s="2"/>
    </row>
    <row r="3" spans="1:31" ht="19.5" customHeight="1" thickBot="1" x14ac:dyDescent="0.3">
      <c r="A3" s="3" t="s">
        <v>1</v>
      </c>
      <c r="B3" s="4"/>
      <c r="C3" s="5"/>
    </row>
    <row r="4" spans="1:31" ht="56.25" customHeight="1" x14ac:dyDescent="0.25">
      <c r="A4" s="64" t="s">
        <v>2</v>
      </c>
      <c r="B4" s="65"/>
      <c r="C4" s="65"/>
      <c r="D4" s="6"/>
    </row>
    <row r="5" spans="1:31" x14ac:dyDescent="0.25">
      <c r="A5" s="7"/>
      <c r="D5" s="6"/>
    </row>
    <row r="6" spans="1:31" ht="21" thickBot="1" x14ac:dyDescent="0.3">
      <c r="A6" s="66" t="s">
        <v>3</v>
      </c>
      <c r="B6" s="67"/>
      <c r="C6" s="5"/>
      <c r="D6" s="6"/>
    </row>
    <row r="7" spans="1:31" ht="36.75" customHeight="1" x14ac:dyDescent="0.25">
      <c r="A7" s="8"/>
      <c r="B7" s="68" t="s">
        <v>35</v>
      </c>
      <c r="C7" s="69"/>
      <c r="D7" s="58" t="s">
        <v>4</v>
      </c>
      <c r="E7" s="9">
        <v>45761</v>
      </c>
      <c r="F7" s="10">
        <f>E7+7</f>
        <v>45768</v>
      </c>
      <c r="G7" s="10">
        <f t="shared" ref="G7:AD7" si="0">F7+7</f>
        <v>45775</v>
      </c>
      <c r="H7" s="10">
        <f t="shared" si="0"/>
        <v>45782</v>
      </c>
      <c r="I7" s="10">
        <f t="shared" si="0"/>
        <v>45789</v>
      </c>
      <c r="J7" s="10">
        <f t="shared" si="0"/>
        <v>45796</v>
      </c>
      <c r="K7" s="10">
        <f t="shared" si="0"/>
        <v>45803</v>
      </c>
      <c r="L7" s="10">
        <f t="shared" si="0"/>
        <v>45810</v>
      </c>
      <c r="M7" s="10">
        <f t="shared" si="0"/>
        <v>45817</v>
      </c>
      <c r="N7" s="10">
        <f t="shared" si="0"/>
        <v>45824</v>
      </c>
      <c r="O7" s="10">
        <f t="shared" si="0"/>
        <v>45831</v>
      </c>
      <c r="P7" s="10">
        <f t="shared" si="0"/>
        <v>45838</v>
      </c>
      <c r="Q7" s="10">
        <f t="shared" si="0"/>
        <v>45845</v>
      </c>
      <c r="R7" s="10">
        <f t="shared" si="0"/>
        <v>45852</v>
      </c>
      <c r="S7" s="10">
        <f t="shared" si="0"/>
        <v>45859</v>
      </c>
      <c r="T7" s="10">
        <f t="shared" si="0"/>
        <v>45866</v>
      </c>
      <c r="U7" s="10">
        <f t="shared" si="0"/>
        <v>45873</v>
      </c>
      <c r="V7" s="10">
        <f t="shared" si="0"/>
        <v>45880</v>
      </c>
      <c r="W7" s="10">
        <f t="shared" si="0"/>
        <v>45887</v>
      </c>
      <c r="X7" s="10">
        <f t="shared" si="0"/>
        <v>45894</v>
      </c>
      <c r="Y7" s="10">
        <f t="shared" si="0"/>
        <v>45901</v>
      </c>
      <c r="Z7" s="10">
        <f t="shared" si="0"/>
        <v>45908</v>
      </c>
      <c r="AA7" s="10">
        <f t="shared" si="0"/>
        <v>45915</v>
      </c>
      <c r="AB7" s="10">
        <f t="shared" si="0"/>
        <v>45922</v>
      </c>
      <c r="AC7" s="10">
        <f t="shared" si="0"/>
        <v>45929</v>
      </c>
      <c r="AD7" s="10">
        <f t="shared" si="0"/>
        <v>45936</v>
      </c>
      <c r="AE7" s="10"/>
    </row>
    <row r="8" spans="1:31" ht="15.75" thickBot="1" x14ac:dyDescent="0.3">
      <c r="A8" s="8"/>
      <c r="B8" s="11">
        <v>45929</v>
      </c>
      <c r="C8" s="12">
        <f>B8+6</f>
        <v>45935</v>
      </c>
      <c r="D8" s="59"/>
      <c r="E8" s="9">
        <f>E7+6</f>
        <v>45767</v>
      </c>
      <c r="F8" s="9">
        <f>F7+6</f>
        <v>45774</v>
      </c>
      <c r="G8" s="9">
        <f t="shared" ref="G8:AD8" si="1">G7+6</f>
        <v>45781</v>
      </c>
      <c r="H8" s="9">
        <f t="shared" si="1"/>
        <v>45788</v>
      </c>
      <c r="I8" s="9">
        <f t="shared" si="1"/>
        <v>45795</v>
      </c>
      <c r="J8" s="9">
        <f t="shared" si="1"/>
        <v>45802</v>
      </c>
      <c r="K8" s="9">
        <f t="shared" si="1"/>
        <v>45809</v>
      </c>
      <c r="L8" s="9">
        <f t="shared" si="1"/>
        <v>45816</v>
      </c>
      <c r="M8" s="9">
        <f t="shared" si="1"/>
        <v>45823</v>
      </c>
      <c r="N8" s="9">
        <f t="shared" si="1"/>
        <v>45830</v>
      </c>
      <c r="O8" s="9">
        <f t="shared" si="1"/>
        <v>45837</v>
      </c>
      <c r="P8" s="9">
        <f t="shared" si="1"/>
        <v>45844</v>
      </c>
      <c r="Q8" s="9">
        <f t="shared" si="1"/>
        <v>45851</v>
      </c>
      <c r="R8" s="9">
        <f t="shared" si="1"/>
        <v>45858</v>
      </c>
      <c r="S8" s="9">
        <f t="shared" si="1"/>
        <v>45865</v>
      </c>
      <c r="T8" s="9">
        <f t="shared" si="1"/>
        <v>45872</v>
      </c>
      <c r="U8" s="9">
        <f t="shared" si="1"/>
        <v>45879</v>
      </c>
      <c r="V8" s="9">
        <f t="shared" si="1"/>
        <v>45886</v>
      </c>
      <c r="W8" s="9">
        <f t="shared" si="1"/>
        <v>45893</v>
      </c>
      <c r="X8" s="9">
        <f t="shared" si="1"/>
        <v>45900</v>
      </c>
      <c r="Y8" s="9">
        <f t="shared" si="1"/>
        <v>45907</v>
      </c>
      <c r="Z8" s="9">
        <f t="shared" si="1"/>
        <v>45914</v>
      </c>
      <c r="AA8" s="9">
        <f t="shared" si="1"/>
        <v>45921</v>
      </c>
      <c r="AB8" s="9">
        <f t="shared" si="1"/>
        <v>45928</v>
      </c>
      <c r="AC8" s="9">
        <f t="shared" si="1"/>
        <v>45935</v>
      </c>
      <c r="AD8" s="9">
        <f t="shared" si="1"/>
        <v>45942</v>
      </c>
      <c r="AE8" s="13"/>
    </row>
    <row r="9" spans="1:31" ht="61.5" customHeight="1" x14ac:dyDescent="0.25">
      <c r="A9" s="14" t="s">
        <v>5</v>
      </c>
      <c r="B9" s="15" t="s">
        <v>6</v>
      </c>
      <c r="C9" s="16" t="s">
        <v>7</v>
      </c>
      <c r="D9" s="17" t="s">
        <v>8</v>
      </c>
      <c r="E9" s="18"/>
      <c r="F9" s="19"/>
      <c r="G9" s="19"/>
      <c r="H9" s="19"/>
      <c r="I9" s="19"/>
      <c r="J9" s="19"/>
      <c r="K9" s="19"/>
      <c r="L9" s="19"/>
      <c r="M9" s="19"/>
      <c r="N9" s="19"/>
      <c r="O9" s="19"/>
      <c r="P9" s="20"/>
      <c r="Q9" s="19"/>
    </row>
    <row r="10" spans="1:31" x14ac:dyDescent="0.25">
      <c r="M10" s="57">
        <v>23377</v>
      </c>
      <c r="N10" t="s">
        <v>34</v>
      </c>
      <c r="O10" s="57">
        <v>6576</v>
      </c>
      <c r="P10" s="57">
        <v>3654</v>
      </c>
      <c r="Q10" s="57">
        <v>3654</v>
      </c>
      <c r="R10" s="57">
        <v>3654</v>
      </c>
      <c r="S10" s="57">
        <v>3654</v>
      </c>
      <c r="T10" s="57">
        <v>3654</v>
      </c>
      <c r="U10" s="57">
        <v>2923</v>
      </c>
      <c r="V10" s="57">
        <v>2923</v>
      </c>
      <c r="W10" s="57">
        <v>2923</v>
      </c>
      <c r="X10" s="57">
        <v>3654</v>
      </c>
      <c r="Y10" s="57">
        <v>3654</v>
      </c>
      <c r="Z10" s="57" t="s">
        <v>33</v>
      </c>
      <c r="AA10" s="57">
        <v>6576</v>
      </c>
      <c r="AB10" s="57">
        <v>6576</v>
      </c>
      <c r="AC10" s="57">
        <v>23377</v>
      </c>
    </row>
    <row r="11" spans="1:31" x14ac:dyDescent="0.25">
      <c r="A11" s="21" t="s">
        <v>9</v>
      </c>
      <c r="B11" s="22">
        <v>59.057849025000003</v>
      </c>
      <c r="C11" s="23"/>
      <c r="D11" s="24">
        <f t="shared" ref="D11:D27" si="2">SUM(E11:AD11)</f>
        <v>-1992.6362166974695</v>
      </c>
      <c r="E11" s="25"/>
      <c r="F11" s="25"/>
      <c r="G11" s="25"/>
      <c r="H11" s="26"/>
      <c r="I11" s="26"/>
      <c r="J11" s="26"/>
      <c r="K11" s="26"/>
      <c r="L11" s="26"/>
      <c r="M11" s="26"/>
      <c r="N11" s="25"/>
      <c r="O11" s="25">
        <v>-135.73190267269229</v>
      </c>
      <c r="P11" s="27">
        <v>-182.43291007942855</v>
      </c>
      <c r="Q11" s="27">
        <v>-194.65392444800003</v>
      </c>
      <c r="R11" s="27">
        <v>-197.00950453864286</v>
      </c>
      <c r="S11" s="25">
        <v>-175.50003493749998</v>
      </c>
      <c r="T11" s="27">
        <v>-147.88813514649999</v>
      </c>
      <c r="U11" s="27">
        <v>-175</v>
      </c>
      <c r="V11" s="27">
        <v>-162</v>
      </c>
      <c r="W11" s="25">
        <v>-141.95612514835295</v>
      </c>
      <c r="X11" s="27">
        <v>-129.11910083635291</v>
      </c>
      <c r="Y11" s="27">
        <v>-147.37787892800003</v>
      </c>
      <c r="Z11" s="27">
        <v>-123.58614950499998</v>
      </c>
      <c r="AA11" s="25">
        <v>-55.380550456999984</v>
      </c>
      <c r="AB11" s="25">
        <v>-25</v>
      </c>
      <c r="AC11" s="25"/>
      <c r="AD11" s="28"/>
      <c r="AE11" s="29"/>
    </row>
    <row r="12" spans="1:31" x14ac:dyDescent="0.25">
      <c r="A12" s="21" t="s">
        <v>10</v>
      </c>
      <c r="B12" s="22">
        <v>13.884297</v>
      </c>
      <c r="C12" s="23"/>
      <c r="D12" s="24">
        <f t="shared" si="2"/>
        <v>-136.91478194667098</v>
      </c>
      <c r="E12" s="25"/>
      <c r="F12" s="25"/>
      <c r="G12" s="25"/>
      <c r="H12" s="26"/>
      <c r="I12" s="26"/>
      <c r="J12" s="26"/>
      <c r="K12" s="26"/>
      <c r="L12" s="26"/>
      <c r="M12" s="25"/>
      <c r="N12" s="25"/>
      <c r="O12" s="25">
        <v>-7.0211968507692291</v>
      </c>
      <c r="P12" s="27">
        <v>-12.891264817582421</v>
      </c>
      <c r="Q12" s="27">
        <v>-12.932241900000005</v>
      </c>
      <c r="R12" s="27">
        <v>-14.876750882142858</v>
      </c>
      <c r="S12" s="25">
        <v>-15.654554475000001</v>
      </c>
      <c r="T12" s="27">
        <v>-15.654554475000001</v>
      </c>
      <c r="U12" s="27">
        <v>-15.654554475000001</v>
      </c>
      <c r="V12" s="27">
        <v>-10.024413542647057</v>
      </c>
      <c r="W12" s="25">
        <v>-9.833358211764704</v>
      </c>
      <c r="X12" s="27">
        <v>-9.833358211764704</v>
      </c>
      <c r="Y12" s="27">
        <v>-5.5814950799999998</v>
      </c>
      <c r="Z12" s="27">
        <v>-5.5814950799999998</v>
      </c>
      <c r="AA12" s="25">
        <v>-1.3755439449999987</v>
      </c>
      <c r="AB12" s="25"/>
      <c r="AC12" s="25"/>
      <c r="AD12" s="28"/>
      <c r="AE12" s="29"/>
    </row>
    <row r="13" spans="1:31" x14ac:dyDescent="0.25">
      <c r="A13" s="21" t="s">
        <v>11</v>
      </c>
      <c r="B13" s="22">
        <v>59.825452302000002</v>
      </c>
      <c r="C13" s="23"/>
      <c r="D13" s="24">
        <f t="shared" si="2"/>
        <v>-961.34569392173341</v>
      </c>
      <c r="E13" s="25"/>
      <c r="F13" s="25"/>
      <c r="G13" s="25"/>
      <c r="H13" s="26"/>
      <c r="I13" s="26"/>
      <c r="J13" s="26"/>
      <c r="K13" s="26"/>
      <c r="L13" s="26"/>
      <c r="M13" s="26"/>
      <c r="N13" s="25"/>
      <c r="O13" s="25">
        <v>-39.921658484615364</v>
      </c>
      <c r="P13" s="27">
        <v>-154.89825505906595</v>
      </c>
      <c r="Q13" s="27">
        <v>-114.58525175900002</v>
      </c>
      <c r="R13" s="27">
        <v>-133.59216959496428</v>
      </c>
      <c r="S13" s="25">
        <v>-117.86217727374992</v>
      </c>
      <c r="T13" s="27">
        <v>-100.06052504874992</v>
      </c>
      <c r="U13" s="27">
        <v>-70.304493106749931</v>
      </c>
      <c r="V13" s="27">
        <v>-85.207271354073441</v>
      </c>
      <c r="W13" s="25">
        <v>-87.24868110288233</v>
      </c>
      <c r="X13" s="27">
        <v>-57.665211137882324</v>
      </c>
      <c r="Y13" s="27"/>
      <c r="Z13" s="27"/>
      <c r="AA13" s="25"/>
      <c r="AB13" s="25"/>
      <c r="AC13" s="25"/>
      <c r="AD13" s="28"/>
      <c r="AE13" s="29"/>
    </row>
    <row r="14" spans="1:31" x14ac:dyDescent="0.25">
      <c r="A14" s="21" t="s">
        <v>12</v>
      </c>
      <c r="B14" s="22">
        <v>64.796030627999997</v>
      </c>
      <c r="C14" s="23"/>
      <c r="D14" s="24">
        <f t="shared" si="2"/>
        <v>-537.82322215960153</v>
      </c>
      <c r="E14" s="25"/>
      <c r="F14" s="25"/>
      <c r="G14" s="25"/>
      <c r="H14" s="26"/>
      <c r="I14" s="26"/>
      <c r="J14" s="26"/>
      <c r="K14" s="26"/>
      <c r="L14" s="26"/>
      <c r="M14" s="26"/>
      <c r="N14" s="25"/>
      <c r="O14" s="25"/>
      <c r="P14" s="27">
        <v>-71.147232155494493</v>
      </c>
      <c r="Q14" s="27">
        <v>-96.86681299</v>
      </c>
      <c r="R14" s="27">
        <v>-102.12353887660714</v>
      </c>
      <c r="S14" s="25">
        <v>-88.636147171250002</v>
      </c>
      <c r="T14" s="27">
        <v>-47.003090881249989</v>
      </c>
      <c r="U14" s="27">
        <v>-17.963091970249991</v>
      </c>
      <c r="V14" s="27">
        <v>-28.131851334749982</v>
      </c>
      <c r="W14" s="25">
        <v>-58.766311533999996</v>
      </c>
      <c r="X14" s="27">
        <v>-0.67639635700000156</v>
      </c>
      <c r="Y14" s="27">
        <v>-14.915531406999996</v>
      </c>
      <c r="Z14" s="27">
        <v>-11.593217482000007</v>
      </c>
      <c r="AA14" s="25"/>
      <c r="AB14" s="25"/>
      <c r="AC14" s="25"/>
      <c r="AD14" s="28"/>
      <c r="AE14" s="29"/>
    </row>
    <row r="15" spans="1:31" x14ac:dyDescent="0.25">
      <c r="A15" s="21" t="s">
        <v>13</v>
      </c>
      <c r="B15" s="22">
        <v>44.782808238000001</v>
      </c>
      <c r="C15" s="23"/>
      <c r="D15" s="24">
        <f t="shared" si="2"/>
        <v>-702.35351233280858</v>
      </c>
      <c r="E15" s="25"/>
      <c r="F15" s="25"/>
      <c r="G15" s="25"/>
      <c r="H15" s="26"/>
      <c r="I15" s="26"/>
      <c r="J15" s="26"/>
      <c r="K15" s="26"/>
      <c r="L15" s="26"/>
      <c r="M15" s="26"/>
      <c r="N15" s="25"/>
      <c r="O15" s="25">
        <v>-15.493854406692293</v>
      </c>
      <c r="P15" s="27">
        <v>-72.533658788494506</v>
      </c>
      <c r="Q15" s="27">
        <v>-68.491257480999991</v>
      </c>
      <c r="R15" s="27">
        <v>-71.975505825857141</v>
      </c>
      <c r="S15" s="25">
        <v>-77.191750474999992</v>
      </c>
      <c r="T15" s="27">
        <v>-66.887618629999992</v>
      </c>
      <c r="U15" s="27">
        <v>-64.854560854999988</v>
      </c>
      <c r="V15" s="27">
        <v>-68.227861352470583</v>
      </c>
      <c r="W15" s="25">
        <v>-73.885244931647065</v>
      </c>
      <c r="X15" s="27">
        <v>-72.070368966647067</v>
      </c>
      <c r="Y15" s="27">
        <v>-48.741830620000002</v>
      </c>
      <c r="Z15" s="27">
        <v>-2</v>
      </c>
      <c r="AA15" s="25"/>
      <c r="AB15" s="25"/>
      <c r="AC15" s="25"/>
      <c r="AD15" s="28"/>
      <c r="AE15" s="29"/>
    </row>
    <row r="16" spans="1:31" x14ac:dyDescent="0.25">
      <c r="A16" s="21" t="s">
        <v>14</v>
      </c>
      <c r="B16" s="22">
        <v>11.900826</v>
      </c>
      <c r="C16" s="23"/>
      <c r="D16" s="24">
        <f t="shared" si="2"/>
        <v>-1429.2888010794225</v>
      </c>
      <c r="E16" s="25"/>
      <c r="F16" s="25"/>
      <c r="G16" s="25"/>
      <c r="H16" s="26"/>
      <c r="I16" s="26"/>
      <c r="J16" s="26"/>
      <c r="K16" s="26"/>
      <c r="L16" s="26"/>
      <c r="M16" s="26"/>
      <c r="N16" s="25"/>
      <c r="O16" s="25">
        <v>-25.237423130769216</v>
      </c>
      <c r="P16" s="27">
        <v>-114.80982694471427</v>
      </c>
      <c r="Q16" s="27">
        <v>-175.07107607</v>
      </c>
      <c r="R16" s="27">
        <v>-146.16605870732144</v>
      </c>
      <c r="S16" s="25">
        <v>-162.20206725624999</v>
      </c>
      <c r="T16" s="27">
        <v>-169.24338930624998</v>
      </c>
      <c r="U16" s="27">
        <v>-133.60041543624999</v>
      </c>
      <c r="V16" s="27">
        <v>-114.44285648051471</v>
      </c>
      <c r="W16" s="25">
        <v>-129.82168399117646</v>
      </c>
      <c r="X16" s="27">
        <v>-111.47457724117648</v>
      </c>
      <c r="Y16" s="27">
        <v>-71.251242775999998</v>
      </c>
      <c r="Z16" s="27">
        <v>-57.279673052</v>
      </c>
      <c r="AA16" s="25">
        <v>-9.6664710449999944</v>
      </c>
      <c r="AB16" s="25">
        <v>-9.0220396419999958</v>
      </c>
      <c r="AC16" s="25"/>
      <c r="AD16" s="28"/>
      <c r="AE16" s="29"/>
    </row>
    <row r="17" spans="1:31" x14ac:dyDescent="0.25">
      <c r="A17" s="21" t="s">
        <v>15</v>
      </c>
      <c r="B17" s="22">
        <v>5.9504130000000002</v>
      </c>
      <c r="C17" s="23"/>
      <c r="D17" s="24">
        <f t="shared" si="2"/>
        <v>-199.87113086537039</v>
      </c>
      <c r="E17" s="25"/>
      <c r="F17" s="25"/>
      <c r="G17" s="25"/>
      <c r="H17" s="26"/>
      <c r="I17" s="26"/>
      <c r="J17" s="26"/>
      <c r="K17" s="26"/>
      <c r="L17" s="26"/>
      <c r="M17" s="26"/>
      <c r="N17" s="25"/>
      <c r="O17" s="25">
        <v>-4.272103230769229</v>
      </c>
      <c r="P17" s="27">
        <v>-13.090044145054947</v>
      </c>
      <c r="Q17" s="27">
        <v>-13.249593599999999</v>
      </c>
      <c r="R17" s="27">
        <v>-14.54593292142857</v>
      </c>
      <c r="S17" s="25">
        <v>-15.064468649999998</v>
      </c>
      <c r="T17" s="27">
        <v>-16.714716522</v>
      </c>
      <c r="U17" s="27">
        <v>-16.248600836999998</v>
      </c>
      <c r="V17" s="27">
        <v>-15.559636243764702</v>
      </c>
      <c r="W17" s="25">
        <v>-24.802844184176465</v>
      </c>
      <c r="X17" s="27">
        <v>-15.811770141176469</v>
      </c>
      <c r="Y17" s="27">
        <v>-17.605293719999999</v>
      </c>
      <c r="Z17" s="27">
        <v>-17.605293719999999</v>
      </c>
      <c r="AA17" s="25">
        <v>-8.3008329499999949</v>
      </c>
      <c r="AB17" s="25">
        <v>-7</v>
      </c>
      <c r="AC17" s="25"/>
      <c r="AD17" s="28"/>
      <c r="AE17" s="29"/>
    </row>
    <row r="18" spans="1:31" x14ac:dyDescent="0.25">
      <c r="A18" s="21" t="s">
        <v>16</v>
      </c>
      <c r="B18" s="22">
        <v>16.439007648</v>
      </c>
      <c r="C18" s="23"/>
      <c r="D18" s="24">
        <f t="shared" si="2"/>
        <v>-142.78325691057273</v>
      </c>
      <c r="E18" s="25"/>
      <c r="F18" s="25"/>
      <c r="G18" s="25"/>
      <c r="H18" s="26"/>
      <c r="I18" s="26"/>
      <c r="J18" s="26"/>
      <c r="K18" s="26"/>
      <c r="L18" s="26"/>
      <c r="M18" s="26"/>
      <c r="N18" s="25"/>
      <c r="O18" s="25">
        <v>-10.675572947888462</v>
      </c>
      <c r="P18" s="27">
        <v>-12.776026044132637</v>
      </c>
      <c r="Q18" s="27">
        <v>-5.5903332477200012</v>
      </c>
      <c r="R18" s="27">
        <v>-13.554112656618571</v>
      </c>
      <c r="S18" s="25">
        <v>-13.849589355000001</v>
      </c>
      <c r="T18" s="27">
        <v>-19.542151124999997</v>
      </c>
      <c r="U18" s="27">
        <v>-15.706118210999998</v>
      </c>
      <c r="V18" s="27">
        <v>-19.393507422705881</v>
      </c>
      <c r="W18" s="25">
        <v>-16.301567690470588</v>
      </c>
      <c r="X18" s="27">
        <v>-5.8070226294705893</v>
      </c>
      <c r="Y18" s="27">
        <v>-6.698666028449999</v>
      </c>
      <c r="Z18" s="27">
        <v>-0.88858955211599966</v>
      </c>
      <c r="AA18" s="25"/>
      <c r="AB18" s="25">
        <v>-2</v>
      </c>
      <c r="AC18" s="25"/>
      <c r="AD18" s="28"/>
      <c r="AE18" s="29"/>
    </row>
    <row r="19" spans="1:31" x14ac:dyDescent="0.25">
      <c r="A19" s="21" t="s">
        <v>17</v>
      </c>
      <c r="B19" s="22">
        <v>25.785122999999999</v>
      </c>
      <c r="C19" s="23"/>
      <c r="D19" s="24">
        <f t="shared" si="2"/>
        <v>-431.13320697300003</v>
      </c>
      <c r="E19" s="25"/>
      <c r="F19" s="25"/>
      <c r="G19" s="25"/>
      <c r="H19" s="26"/>
      <c r="I19" s="26"/>
      <c r="J19" s="26"/>
      <c r="K19" s="26"/>
      <c r="L19" s="26"/>
      <c r="M19" s="26"/>
      <c r="N19" s="25"/>
      <c r="O19" s="25"/>
      <c r="P19" s="27">
        <v>-34.569916059000001</v>
      </c>
      <c r="Q19" s="27">
        <v>-34.889254889999997</v>
      </c>
      <c r="R19" s="27">
        <v>-31.787106246</v>
      </c>
      <c r="S19" s="25">
        <v>-24.912395759999999</v>
      </c>
      <c r="T19" s="27">
        <v>-54.577188036000003</v>
      </c>
      <c r="U19" s="27">
        <v>-55.719667332</v>
      </c>
      <c r="V19" s="27">
        <v>-58.924956467999998</v>
      </c>
      <c r="W19" s="25">
        <v>-45.893551998</v>
      </c>
      <c r="X19" s="27">
        <v>-25.874379194999999</v>
      </c>
      <c r="Y19" s="27">
        <v>-27.768594</v>
      </c>
      <c r="Z19" s="27">
        <v>-36.216196988999997</v>
      </c>
      <c r="AA19" s="25"/>
      <c r="AB19" s="25"/>
      <c r="AC19" s="25"/>
      <c r="AD19" s="28"/>
      <c r="AE19" s="29"/>
    </row>
    <row r="20" spans="1:31" x14ac:dyDescent="0.25">
      <c r="A20" s="21" t="s">
        <v>18</v>
      </c>
      <c r="B20" s="22">
        <v>119.90082194999999</v>
      </c>
      <c r="C20" s="23"/>
      <c r="D20" s="24">
        <f t="shared" si="2"/>
        <v>-1400.1485575862848</v>
      </c>
      <c r="E20" s="25"/>
      <c r="F20" s="25"/>
      <c r="G20" s="25"/>
      <c r="H20" s="26"/>
      <c r="I20" s="26"/>
      <c r="J20" s="26"/>
      <c r="K20" s="26"/>
      <c r="L20" s="26"/>
      <c r="M20" s="26"/>
      <c r="N20" s="25"/>
      <c r="O20" s="25">
        <v>-54.548599872307705</v>
      </c>
      <c r="P20" s="27">
        <v>-98.45913905252749</v>
      </c>
      <c r="Q20" s="27">
        <v>-99.748830320000025</v>
      </c>
      <c r="R20" s="27">
        <v>-100.23087802821428</v>
      </c>
      <c r="S20" s="25">
        <v>-94.762870877499978</v>
      </c>
      <c r="T20" s="27">
        <v>-119.49675424749998</v>
      </c>
      <c r="U20" s="27">
        <v>-152</v>
      </c>
      <c r="V20" s="27">
        <v>-104</v>
      </c>
      <c r="W20" s="25">
        <v>-119.56602609411763</v>
      </c>
      <c r="X20" s="27">
        <v>-185.91313104411762</v>
      </c>
      <c r="Y20" s="27">
        <v>-86.536907870000007</v>
      </c>
      <c r="Z20" s="27">
        <v>-68.923685390000017</v>
      </c>
      <c r="AA20" s="25">
        <v>-70.909132859999985</v>
      </c>
      <c r="AB20" s="25">
        <v>-45.052601929999994</v>
      </c>
      <c r="AC20" s="25"/>
      <c r="AD20" s="28"/>
      <c r="AE20" s="29"/>
    </row>
    <row r="21" spans="1:31" x14ac:dyDescent="0.25">
      <c r="A21" s="21" t="s">
        <v>19</v>
      </c>
      <c r="B21" s="22">
        <v>70.591732890000003</v>
      </c>
      <c r="C21" s="23"/>
      <c r="D21" s="24">
        <f t="shared" si="2"/>
        <v>-934.30144473576479</v>
      </c>
      <c r="E21" s="25"/>
      <c r="F21" s="25"/>
      <c r="G21" s="25"/>
      <c r="H21" s="26"/>
      <c r="I21" s="26"/>
      <c r="J21" s="26"/>
      <c r="K21" s="26"/>
      <c r="L21" s="26"/>
      <c r="M21" s="26"/>
      <c r="N21" s="25"/>
      <c r="O21" s="25">
        <v>-13.013348894000018</v>
      </c>
      <c r="P21" s="27">
        <v>-85.802733814000021</v>
      </c>
      <c r="Q21" s="27">
        <v>-90.936352738000011</v>
      </c>
      <c r="R21" s="27">
        <v>-76.78944322000001</v>
      </c>
      <c r="S21" s="25">
        <v>-87.202665969999998</v>
      </c>
      <c r="T21" s="27">
        <v>-82.065476079999996</v>
      </c>
      <c r="U21" s="27">
        <v>-139</v>
      </c>
      <c r="V21" s="27">
        <v>-122</v>
      </c>
      <c r="W21" s="25">
        <v>-93</v>
      </c>
      <c r="X21" s="27">
        <v>-37.295850611764706</v>
      </c>
      <c r="Y21" s="27">
        <v>-56.156182768000008</v>
      </c>
      <c r="Z21" s="27">
        <v>-44.602465068000008</v>
      </c>
      <c r="AA21" s="25"/>
      <c r="AB21" s="25">
        <v>-6.4369255719999785</v>
      </c>
      <c r="AC21" s="25"/>
      <c r="AD21" s="28"/>
      <c r="AE21" s="29"/>
    </row>
    <row r="22" spans="1:31" x14ac:dyDescent="0.25">
      <c r="A22" s="21" t="s">
        <v>20</v>
      </c>
      <c r="B22" s="22">
        <v>342.43436732399999</v>
      </c>
      <c r="C22" s="23"/>
      <c r="D22" s="24">
        <f t="shared" si="2"/>
        <v>-2338.3544406489991</v>
      </c>
      <c r="E22" s="25"/>
      <c r="F22" s="25"/>
      <c r="G22" s="25"/>
      <c r="H22" s="26"/>
      <c r="I22" s="26"/>
      <c r="J22" s="26"/>
      <c r="K22" s="26"/>
      <c r="L22" s="26"/>
      <c r="M22" s="26"/>
      <c r="N22" s="25"/>
      <c r="O22" s="25">
        <v>-206.56956209633313</v>
      </c>
      <c r="P22" s="27">
        <v>-124.39236358733331</v>
      </c>
      <c r="Q22" s="27">
        <v>-88.747548663583302</v>
      </c>
      <c r="R22" s="27">
        <v>-153.74079396724994</v>
      </c>
      <c r="S22" s="25">
        <v>-131.71236504124988</v>
      </c>
      <c r="T22" s="27">
        <v>-216.08525443924987</v>
      </c>
      <c r="U22" s="27">
        <v>-485</v>
      </c>
      <c r="V22" s="27">
        <v>-465</v>
      </c>
      <c r="W22" s="25">
        <v>-222</v>
      </c>
      <c r="X22" s="27"/>
      <c r="Y22" s="27">
        <v>-68.301794092000023</v>
      </c>
      <c r="Z22" s="27"/>
      <c r="AA22" s="25">
        <v>-89.804758761999949</v>
      </c>
      <c r="AB22" s="25">
        <v>-87</v>
      </c>
      <c r="AC22" s="25"/>
      <c r="AD22" s="28"/>
      <c r="AE22" s="29"/>
    </row>
    <row r="23" spans="1:31" x14ac:dyDescent="0.25">
      <c r="A23" s="21" t="s">
        <v>21</v>
      </c>
      <c r="B23" s="22">
        <v>666.62476838999999</v>
      </c>
      <c r="C23" s="23"/>
      <c r="D23" s="24">
        <f t="shared" si="2"/>
        <v>-14567.622234463626</v>
      </c>
      <c r="E23" s="25"/>
      <c r="F23" s="25"/>
      <c r="G23" s="25"/>
      <c r="H23" s="26"/>
      <c r="I23" s="26"/>
      <c r="J23" s="26"/>
      <c r="K23" s="26"/>
      <c r="L23" s="26"/>
      <c r="M23" s="26"/>
      <c r="N23" s="25"/>
      <c r="O23" s="25">
        <v>-1137</v>
      </c>
      <c r="P23" s="27">
        <v>-1318.2811275666666</v>
      </c>
      <c r="Q23" s="27">
        <v>-1314.0414533416667</v>
      </c>
      <c r="R23" s="27">
        <v>-1260.9174817749999</v>
      </c>
      <c r="S23" s="25">
        <v>-1266.0745063750001</v>
      </c>
      <c r="T23" s="27">
        <v>-1266.867894775</v>
      </c>
      <c r="U23" s="27">
        <v>-1246</v>
      </c>
      <c r="V23" s="27">
        <v>-1243.1041591544117</v>
      </c>
      <c r="W23" s="25">
        <v>-1181.0171342529413</v>
      </c>
      <c r="X23" s="27">
        <v>-1164.5543249529412</v>
      </c>
      <c r="Y23" s="27">
        <v>-1032.0992738</v>
      </c>
      <c r="Z23" s="27">
        <v>-1002</v>
      </c>
      <c r="AA23" s="25">
        <v>-117</v>
      </c>
      <c r="AB23" s="25">
        <v>-18.664878469999962</v>
      </c>
      <c r="AC23" s="25"/>
      <c r="AD23" s="28"/>
      <c r="AE23" s="29"/>
    </row>
    <row r="24" spans="1:31" x14ac:dyDescent="0.25">
      <c r="A24" s="30" t="s">
        <v>22</v>
      </c>
      <c r="B24" s="22">
        <v>717.64218135288002</v>
      </c>
      <c r="C24" s="23"/>
      <c r="D24" s="24">
        <f t="shared" si="2"/>
        <v>-12469.967734907299</v>
      </c>
      <c r="E24" s="23"/>
      <c r="F24" s="25"/>
      <c r="G24" s="25"/>
      <c r="H24" s="26"/>
      <c r="I24" s="26"/>
      <c r="J24" s="26"/>
      <c r="K24" s="26"/>
      <c r="L24" s="26"/>
      <c r="M24" s="26"/>
      <c r="N24" s="25"/>
      <c r="O24" s="25"/>
      <c r="P24" s="27">
        <v>-187</v>
      </c>
      <c r="Q24" s="27">
        <v>-447</v>
      </c>
      <c r="R24" s="27">
        <v>-1592</v>
      </c>
      <c r="S24" s="25">
        <v>-1175</v>
      </c>
      <c r="T24" s="27">
        <v>-1748</v>
      </c>
      <c r="U24" s="27">
        <v>-1831</v>
      </c>
      <c r="V24" s="27">
        <v>-1817.9797004207999</v>
      </c>
      <c r="W24" s="25">
        <v>-1724.9880344864998</v>
      </c>
      <c r="X24" s="27">
        <v>-1218</v>
      </c>
      <c r="Y24" s="27">
        <v>-223</v>
      </c>
      <c r="Z24" s="27">
        <v>-506</v>
      </c>
      <c r="AA24" s="25"/>
      <c r="AB24" s="25"/>
      <c r="AC24" s="25"/>
      <c r="AD24" s="28"/>
      <c r="AE24" s="29"/>
    </row>
    <row r="25" spans="1:31" x14ac:dyDescent="0.25">
      <c r="A25" s="21" t="s">
        <v>23</v>
      </c>
      <c r="B25" s="31"/>
      <c r="C25" s="23">
        <v>-5</v>
      </c>
      <c r="D25" s="24">
        <f t="shared" si="2"/>
        <v>-2901</v>
      </c>
      <c r="E25" s="25"/>
      <c r="F25" s="25"/>
      <c r="G25" s="25"/>
      <c r="H25" s="26"/>
      <c r="I25" s="26"/>
      <c r="J25" s="25"/>
      <c r="K25" s="26"/>
      <c r="L25" s="26"/>
      <c r="M25" s="25"/>
      <c r="N25" s="25"/>
      <c r="O25" s="25">
        <v>-337</v>
      </c>
      <c r="P25" s="27">
        <v>-388</v>
      </c>
      <c r="Q25" s="27">
        <v>-343</v>
      </c>
      <c r="R25" s="27">
        <v>-300</v>
      </c>
      <c r="S25" s="25">
        <v>-296</v>
      </c>
      <c r="T25" s="27">
        <v>-284</v>
      </c>
      <c r="U25" s="27">
        <v>-307</v>
      </c>
      <c r="V25" s="27">
        <v>-246</v>
      </c>
      <c r="W25" s="25">
        <v>-109</v>
      </c>
      <c r="X25" s="27">
        <v>-83</v>
      </c>
      <c r="Y25" s="27">
        <v>-102</v>
      </c>
      <c r="Z25" s="27">
        <v>-75</v>
      </c>
      <c r="AA25" s="25">
        <v>-14</v>
      </c>
      <c r="AB25" s="25">
        <v>-12</v>
      </c>
      <c r="AC25" s="25">
        <v>-5</v>
      </c>
      <c r="AD25" s="28"/>
      <c r="AE25" s="29"/>
    </row>
    <row r="26" spans="1:31" x14ac:dyDescent="0.25">
      <c r="A26" s="21" t="s">
        <v>24</v>
      </c>
      <c r="B26" s="31">
        <v>1</v>
      </c>
      <c r="C26" s="23"/>
      <c r="D26" s="24">
        <f>SUM(E26:AD26)</f>
        <v>-22</v>
      </c>
      <c r="E26" s="23"/>
      <c r="F26" s="25"/>
      <c r="G26" s="25"/>
      <c r="H26" s="26"/>
      <c r="I26" s="26"/>
      <c r="J26" s="26"/>
      <c r="K26" s="26"/>
      <c r="L26" s="26"/>
      <c r="M26" s="25"/>
      <c r="N26" s="25"/>
      <c r="O26" s="25">
        <v>-2</v>
      </c>
      <c r="P26" s="27">
        <v>-2</v>
      </c>
      <c r="Q26" s="27">
        <v>-2</v>
      </c>
      <c r="R26" s="27">
        <v>-2</v>
      </c>
      <c r="S26" s="25">
        <v>-2</v>
      </c>
      <c r="T26" s="27">
        <v>-2</v>
      </c>
      <c r="U26" s="27">
        <v>-3</v>
      </c>
      <c r="V26" s="27">
        <v>-3</v>
      </c>
      <c r="W26" s="25">
        <v>-2</v>
      </c>
      <c r="X26" s="27">
        <v>-2</v>
      </c>
      <c r="Y26" s="27"/>
      <c r="Z26" s="27"/>
      <c r="AA26" s="25"/>
      <c r="AB26" s="25"/>
      <c r="AC26" s="25"/>
      <c r="AD26" s="28"/>
      <c r="AE26" s="32"/>
    </row>
    <row r="27" spans="1:31" x14ac:dyDescent="0.25">
      <c r="A27" s="33" t="s">
        <v>25</v>
      </c>
      <c r="B27" s="31">
        <v>2</v>
      </c>
      <c r="C27" s="23"/>
      <c r="D27" s="25">
        <f t="shared" si="2"/>
        <v>-37</v>
      </c>
      <c r="E27" s="23"/>
      <c r="F27" s="25"/>
      <c r="G27" s="25"/>
      <c r="H27" s="26"/>
      <c r="I27" s="26"/>
      <c r="J27" s="26"/>
      <c r="K27" s="26"/>
      <c r="L27" s="26"/>
      <c r="M27" s="25"/>
      <c r="N27" s="25"/>
      <c r="O27" s="25">
        <v>-3</v>
      </c>
      <c r="P27" s="27">
        <v>-3</v>
      </c>
      <c r="Q27" s="27">
        <v>-3</v>
      </c>
      <c r="R27" s="27">
        <v>-3</v>
      </c>
      <c r="S27" s="25">
        <v>-3</v>
      </c>
      <c r="T27" s="27">
        <v>-3</v>
      </c>
      <c r="U27" s="27">
        <v>-5</v>
      </c>
      <c r="V27" s="27">
        <v>-5</v>
      </c>
      <c r="W27" s="25">
        <v>-5</v>
      </c>
      <c r="X27" s="27">
        <v>-4</v>
      </c>
      <c r="Y27" s="27"/>
      <c r="Z27" s="27"/>
      <c r="AA27" s="25"/>
      <c r="AB27" s="25"/>
      <c r="AC27" s="25"/>
      <c r="AD27" s="25"/>
      <c r="AE27" s="32"/>
    </row>
    <row r="28" spans="1:31" x14ac:dyDescent="0.25">
      <c r="A28" s="34"/>
      <c r="B28" s="35"/>
      <c r="C28" s="36"/>
      <c r="D28" s="36" t="s">
        <v>26</v>
      </c>
      <c r="E28" s="37"/>
      <c r="F28" s="38"/>
      <c r="G28" s="38"/>
      <c r="H28" s="39"/>
      <c r="I28" s="39"/>
      <c r="J28" s="39"/>
      <c r="K28" s="39"/>
      <c r="L28" s="39"/>
      <c r="M28" s="38"/>
      <c r="N28" s="38"/>
      <c r="O28" s="38"/>
      <c r="P28" s="40"/>
      <c r="Q28" s="40"/>
      <c r="R28" s="40"/>
      <c r="S28" s="38"/>
      <c r="T28" s="40"/>
      <c r="U28" s="40"/>
      <c r="V28" s="41"/>
      <c r="W28" s="42"/>
      <c r="X28" s="41"/>
      <c r="Y28" s="43"/>
      <c r="Z28" s="43"/>
      <c r="AA28" s="42"/>
      <c r="AB28" s="44"/>
      <c r="AC28" s="44"/>
      <c r="AD28" s="44"/>
      <c r="AE28" s="45"/>
    </row>
    <row r="29" spans="1:31" x14ac:dyDescent="0.25">
      <c r="A29" s="33" t="s">
        <v>27</v>
      </c>
      <c r="B29" s="46">
        <f>SUBTOTAL(109,Table22456789101112131415161718[Column2])</f>
        <v>2222.6156787478799</v>
      </c>
      <c r="C29" s="23">
        <f>SUBTOTAL(109,Table22456789101112131415161718[Column3])</f>
        <v>-5</v>
      </c>
      <c r="D29" s="25">
        <f>SUBTOTAL(109,Table22456789101112131415161718[Column4])</f>
        <v>-41204.544235228619</v>
      </c>
      <c r="E29" s="25">
        <f>SUBTOTAL(109,Table22456789101112131415161718[Column5])</f>
        <v>0</v>
      </c>
      <c r="F29" s="25">
        <f>SUBTOTAL(109,Table22456789101112131415161718[Column6])</f>
        <v>0</v>
      </c>
      <c r="G29" s="25">
        <f>SUBTOTAL(109,Table22456789101112131415161718[Column7])</f>
        <v>0</v>
      </c>
      <c r="H29" s="25">
        <f>SUBTOTAL(109,Table22456789101112131415161718[Column8])</f>
        <v>0</v>
      </c>
      <c r="I29" s="25">
        <f>SUBTOTAL(109,Table22456789101112131415161718[Column9])</f>
        <v>0</v>
      </c>
      <c r="J29" s="25">
        <f>SUBTOTAL(109,Table22456789101112131415161718[Column10])</f>
        <v>0</v>
      </c>
      <c r="K29" s="25">
        <f>SUBTOTAL(109,Table22456789101112131415161718[Column11])</f>
        <v>0</v>
      </c>
      <c r="L29" s="25">
        <f>SUBTOTAL(109,Table22456789101112131415161718[Column12])</f>
        <v>0</v>
      </c>
      <c r="M29" s="25">
        <f>SUBTOTAL(109,Table22456789101112131415161718[Column13])</f>
        <v>0</v>
      </c>
      <c r="N29" s="25">
        <f>SUBTOTAL(109,Table22456789101112131415161718[Column14])</f>
        <v>0</v>
      </c>
      <c r="O29" s="25">
        <f>SUBTOTAL(109,Table22456789101112131415161718[Column15])</f>
        <v>-1991.4852225868369</v>
      </c>
      <c r="P29" s="25">
        <f>SUBTOTAL(109,Table22456789101112131415161718[Column16])</f>
        <v>-2876.0844981134951</v>
      </c>
      <c r="Q29" s="25">
        <f>SUBTOTAL(109,Table22456789101112131415161718[Column17])</f>
        <v>-3104.8039314489702</v>
      </c>
      <c r="R29" s="25">
        <f>SUBTOTAL(109,Table22456789101112131415161718[Column18])</f>
        <v>-4214.3092772400469</v>
      </c>
      <c r="S29" s="25">
        <f>SUBTOTAL(109,Table22456789101112131415161718[Column19])</f>
        <v>-3746.6255936174998</v>
      </c>
      <c r="T29" s="25">
        <f>SUBTOTAL(109,Table22456789101112131415161718[Column20])</f>
        <v>-4359.0867487124997</v>
      </c>
      <c r="U29" s="25">
        <f>SUBTOTAL(109,Table22456789101112131415161718[Column21])</f>
        <v>-4733.0515022232503</v>
      </c>
      <c r="V29" s="25">
        <f>SUBTOTAL(109,Table22456789101112131415161718[Column22])</f>
        <v>-4567.9962137741386</v>
      </c>
      <c r="W29" s="25">
        <f>SUBTOTAL(109,Table22456789101112131415161718[Column23])</f>
        <v>-4045.0805636260293</v>
      </c>
      <c r="X29" s="25">
        <f>SUBTOTAL(109,Table22456789101112131415161718[Column24])</f>
        <v>-3123.095491325294</v>
      </c>
      <c r="Y29" s="25">
        <f>SUBTOTAL(109,Table22456789101112131415161718[Column25])</f>
        <v>-1908.03469108945</v>
      </c>
      <c r="Z29" s="25">
        <f>SUBTOTAL(109,Table22456789101112131415161718[Column26])</f>
        <v>-1951.276765838116</v>
      </c>
      <c r="AA29" s="25">
        <f>SUBTOTAL(109,Table22456789101112131415161718[Column27])</f>
        <v>-366.43729001899993</v>
      </c>
      <c r="AB29" s="25">
        <f>SUBTOTAL(109,Table22456789101112131415161718[Column28])</f>
        <v>-212.17644561399993</v>
      </c>
      <c r="AC29" s="25">
        <f>SUBTOTAL(109,Table22456789101112131415161718[Column29])</f>
        <v>-5</v>
      </c>
      <c r="AD29" s="25">
        <f>SUBTOTAL(109,Table22456789101112131415161718[Column30])</f>
        <v>0</v>
      </c>
      <c r="AE29" s="25"/>
    </row>
    <row r="30" spans="1:31" x14ac:dyDescent="0.25">
      <c r="A30" s="7"/>
      <c r="B30" s="47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2"/>
      <c r="X30" s="42"/>
      <c r="Y30" s="42"/>
      <c r="Z30" s="42"/>
      <c r="AA30" s="42"/>
      <c r="AB30" s="42"/>
      <c r="AC30" s="42"/>
      <c r="AD30" s="42"/>
    </row>
    <row r="33" spans="1:15" x14ac:dyDescent="0.25">
      <c r="A33" s="60" t="s">
        <v>28</v>
      </c>
      <c r="B33" s="60"/>
      <c r="C33" s="60"/>
      <c r="E33" s="49"/>
      <c r="K33" s="39"/>
      <c r="L33" s="39"/>
      <c r="M33" s="50"/>
      <c r="O33" s="51"/>
    </row>
    <row r="34" spans="1:15" ht="15.75" thickBot="1" x14ac:dyDescent="0.3">
      <c r="G34" s="52"/>
      <c r="J34" s="50"/>
      <c r="L34" s="50"/>
      <c r="M34" s="50"/>
      <c r="N34" s="50"/>
      <c r="O34" s="50"/>
    </row>
    <row r="35" spans="1:15" x14ac:dyDescent="0.25">
      <c r="A35" s="8"/>
      <c r="B35" s="58" t="s">
        <v>29</v>
      </c>
      <c r="C35" s="61"/>
    </row>
    <row r="36" spans="1:15" ht="15.75" thickBot="1" x14ac:dyDescent="0.3">
      <c r="A36" s="8"/>
      <c r="B36" s="59"/>
      <c r="C36" s="62"/>
    </row>
    <row r="37" spans="1:15" ht="16.5" thickBot="1" x14ac:dyDescent="0.3">
      <c r="A37" s="53" t="s">
        <v>30</v>
      </c>
      <c r="B37" s="54">
        <v>45778</v>
      </c>
      <c r="C37" s="54"/>
    </row>
    <row r="38" spans="1:15" ht="16.5" thickBot="1" x14ac:dyDescent="0.3">
      <c r="A38" s="53"/>
      <c r="B38" s="55"/>
      <c r="C38" s="55"/>
    </row>
    <row r="39" spans="1:15" ht="16.5" thickBot="1" x14ac:dyDescent="0.3">
      <c r="A39" s="53" t="s">
        <v>31</v>
      </c>
      <c r="B39" s="54">
        <v>45767</v>
      </c>
      <c r="C39" s="54"/>
      <c r="F39" s="56"/>
    </row>
    <row r="40" spans="1:15" ht="16.5" thickBot="1" x14ac:dyDescent="0.3">
      <c r="A40" s="53"/>
      <c r="B40" s="55"/>
      <c r="C40" s="55"/>
    </row>
    <row r="41" spans="1:15" ht="16.5" thickBot="1" x14ac:dyDescent="0.3">
      <c r="A41" s="53" t="s">
        <v>32</v>
      </c>
      <c r="B41" s="54">
        <v>45748</v>
      </c>
      <c r="C41" s="54"/>
      <c r="F41" s="56"/>
    </row>
  </sheetData>
  <mergeCells count="7">
    <mergeCell ref="D7:D8"/>
    <mergeCell ref="A33:C33"/>
    <mergeCell ref="B35:C36"/>
    <mergeCell ref="A1:C1"/>
    <mergeCell ref="A4:C4"/>
    <mergeCell ref="A6:B6"/>
    <mergeCell ref="B7:C7"/>
  </mergeCells>
  <hyperlinks>
    <hyperlink ref="A33:C33" r:id="rId1" display="COURT ORDERED DUTY SCHEDULE" xr:uid="{E4D4D2B1-4F60-4829-ADA9-CD6AB989FBFC}"/>
    <hyperlink ref="E36" r:id="rId2" display="http://waterrights.utah.gov/cgi-bin/dvrtview.exe?Modinfo=SysStations&amp;SYSTEM_NAME=DUCHESNE+RIVER&amp;RECORD_YEAR=2008" xr:uid="{B2C5F47B-FA6D-4B39-A607-C7FD6EA1558B}"/>
  </hyperlinks>
  <pageMargins left="0.7" right="0.7" top="0.75" bottom="0.75" header="0.3" footer="0.3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Swasey</dc:creator>
  <cp:lastModifiedBy>Daniel Swasey</cp:lastModifiedBy>
  <dcterms:created xsi:type="dcterms:W3CDTF">2025-10-01T21:27:31Z</dcterms:created>
  <dcterms:modified xsi:type="dcterms:W3CDTF">2025-10-06T14:54:00Z</dcterms:modified>
</cp:coreProperties>
</file>